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wbsvfile\userdata$\LipinskiMar\Desktop\"/>
    </mc:Choice>
  </mc:AlternateContent>
  <bookViews>
    <workbookView xWindow="0" yWindow="0" windowWidth="21570" windowHeight="10215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R24" i="7" l="1"/>
  <c r="R15" i="7"/>
  <c r="H15" i="7" l="1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E63" i="18"/>
  <c r="G63" i="18"/>
  <c r="J63" i="18"/>
  <c r="F53" i="18"/>
  <c r="M63" i="18"/>
  <c r="I53" i="18"/>
  <c r="N53" i="18"/>
  <c r="E53" i="18"/>
  <c r="J53" i="18"/>
  <c r="F63" i="18"/>
  <c r="K63" i="18"/>
  <c r="D22" i="18"/>
  <c r="K21" i="18" s="1"/>
  <c r="G53" i="18"/>
  <c r="D56" i="18" s="1"/>
  <c r="J55" i="18" s="1"/>
  <c r="M53" i="18"/>
  <c r="I63" i="18"/>
  <c r="N63" i="18"/>
  <c r="I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M21" i="18" l="1"/>
  <c r="H21" i="18"/>
  <c r="L21" i="18"/>
  <c r="F21" i="18"/>
  <c r="E21" i="18" s="1"/>
  <c r="J21" i="18"/>
  <c r="G21" i="18"/>
  <c r="N21" i="18"/>
  <c r="E31" i="18"/>
  <c r="D66" i="18"/>
  <c r="K65" i="18" s="1"/>
  <c r="L65" i="18"/>
  <c r="M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L13" i="7"/>
  <c r="P13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25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<sst xmlns="http://schemas.openxmlformats.org/spreadsheetml/2006/main" count="1377" uniqueCount="682">
  <si>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</si>
  <si>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</si>
  <si>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</si>
  <si>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</si>
  <si>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</si>
  <si>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</si>
  <si>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</si>
  <si>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</si>
  <si>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</si>
  <si>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</si>
  <si>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</si>
  <si>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</si>
  <si>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</si>
  <si>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</si>
  <si>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</si>
  <si>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</si>
  <si>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</si>
  <si>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</si>
  <si>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</si>
  <si>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</si>
  <si>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</si>
  <si>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</si>
  <si>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</si>
  <si>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</si>
  <si>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</si>
  <si>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</si>
  <si>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</si>
  <si>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</si>
  <si>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</si>
  <si>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</si>
  <si>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</si>
  <si>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</si>
  <si>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</si>
  <si>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</si>
  <si>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</si>
  <si>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</si>
  <si>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</si>
  <si>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</si>
  <si>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</si>
  <si>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</si>
  <si>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</si>
  <si>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</si>
  <si>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</si>
  <si>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</si>
  <si>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</si>
  <si>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</si>
  <si>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</si>
  <si>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</si>
  <si>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</si>
  <si>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</si>
  <si>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</si>
  <si>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</si>
  <si>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</si>
  <si>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</si>
  <si>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</si>
  <si>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</si>
  <si>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</si>
  <si>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</si>
  <si>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</si>
  <si>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</si>
  <si>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</si>
  <si>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</si>
  <si>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</si>
  <si>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</si>
  <si>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</si>
  <si>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</si>
  <si>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</si>
  <si>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</si>
  <si>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</si>
  <si>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</si>
  <si>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</si>
  <si>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</si>
  <si>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</si>
  <si>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</si>
  <si>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</si>
  <si>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</si>
  <si>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</si>
  <si>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</si>
  <si>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</si>
  <si>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</si>
  <si>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</si>
  <si>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</si>
  <si>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</si>
  <si>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</si>
  <si>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</si>
  <si>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</si>
  <si>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</si>
  <si>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</si>
  <si>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</si>
  <si>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</si>
  <si>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</si>
  <si>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</si>
  <si>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</si>
  <si>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</si>
  <si>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</si>
  <si>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</si>
  <si>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</si>
  <si>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</si>
  <si>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</si>
  <si>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</si>
  <si>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</si>
  <si>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</si>
  <si>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</si>
  <si>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</si>
  <si>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</si>
  <si>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</si>
  <si>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</si>
  <si>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</si>
  <si>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</si>
  <si>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</si>
  <si>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</si>
  <si>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</si>
  <si>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</si>
  <si>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</si>
  <si>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</si>
  <si>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</si>
  <si>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</si>
  <si>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</si>
  <si>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</si>
  <si>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</si>
  <si>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</si>
  <si>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</si>
  <si>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</si>
  <si>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</si>
  <si>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</si>
  <si>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</si>
  <si>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</si>
  <si>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</si>
  <si>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</si>
  <si>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</si>
  <si>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</si>
  <si>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</si>
  <si>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</si>
  <si>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</si>
  <si>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</si>
  <si>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</si>
  <si>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</si>
  <si>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</si>
  <si>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</si>
  <si>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</si>
  <si>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</si>
  <si>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</si>
  <si>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</si>
  <si>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</si>
  <si>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</si>
  <si>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</si>
  <si>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</si>
  <si>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</si>
  <si>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</si>
  <si>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</si>
  <si>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</si>
  <si>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</si>
  <si>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</si>
  <si>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</si>
  <si>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</si>
  <si>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</si>
  <si>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</si>
  <si>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</si>
  <si>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</si>
  <si>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</si>
  <si>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</si>
  <si>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</si>
  <si>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</si>
  <si>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</si>
  <si>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</si>
  <si>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</si>
  <si>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</si>
  <si>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</si>
  <si>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</si>
  <si>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</si>
  <si>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</si>
  <si>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</si>
  <si>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</si>
  <si>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</si>
  <si>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</si>
  <si>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</si>
  <si>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</si>
  <si>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</si>
  <si>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</si>
  <si>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</si>
  <si>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</si>
  <si>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</si>
  <si>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</si>
  <si>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</si>
  <si>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</si>
  <si>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</si>
  <si>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</si>
  <si>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</si>
  <si>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</si>
  <si>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</si>
  <si>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</si>
  <si>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</si>
  <si>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</si>
  <si>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</si>
  <si>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</si>
  <si>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</si>
  <si>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</si>
  <si>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</si>
  <si>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</si>
  <si>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</si>
  <si>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</si>
  <si>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</si>
  <si>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</si>
  <si>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</si>
  <si>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</si>
  <si>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</si>
  <si>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</si>
  <si>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</si>
  <si>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</si>
  <si>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</si>
  <si>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</si>
  <si>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</si>
  <si>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</si>
  <si>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</si>
  <si>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</si>
  <si>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</si>
  <si>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</si>
  <si>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</si>
  <si>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</si>
  <si>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</si>
  <si>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</si>
  <si>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</si>
  <si>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</si>
  <si>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</si>
  <si>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</si>
  <si>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</si>
  <si>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</si>
  <si>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</si>
  <si>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</si>
  <si>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</si>
  <si>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</si>
  <si>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</si>
  <si>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</si>
  <si>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</si>
  <si>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</si>
  <si>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</si>
  <si>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</si>
  <si>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</si>
  <si>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</si>
  <si>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</si>
  <si>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</si>
  <si>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</si>
  <si>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</si>
  <si>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</si>
  <si>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</si>
  <si>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</si>
  <si>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</si>
  <si>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</si>
  <si>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</si>
  <si>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</si>
  <si>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</si>
  <si>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</si>
  <si>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</si>
  <si>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</si>
  <si>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</si>
  <si>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</si>
  <si>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</si>
  <si>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</si>
  <si>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</si>
  <si>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</si>
  <si>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</si>
  <si>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</si>
  <si>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</si>
  <si>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</si>
  <si>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</si>
  <si>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</si>
  <si>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</si>
  <si>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</si>
  <si>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</si>
  <si>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</si>
  <si>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</si>
  <si>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</si>
  <si>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</si>
  <si>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</si>
  <si>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</si>
  <si>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</si>
  <si>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</si>
  <si>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</si>
  <si>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</si>
  <si>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</si>
  <si>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</si>
  <si>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</si>
  <si>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</si>
  <si>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</si>
  <si>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</si>
  <si>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</si>
  <si>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</si>
  <si>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</si>
  <si>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</si>
  <si>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</si>
  <si>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</si>
  <si>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</si>
  <si>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</si>
  <si>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</si>
  <si>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</si>
  <si>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</si>
  <si>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</si>
  <si>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</si>
  <si>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</si>
  <si>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</si>
  <si>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</si>
  <si>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</si>
  <si>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</si>
  <si>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</si>
  <si>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</si>
  <si>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</si>
  <si>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</si>
  <si>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</si>
  <si>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</si>
  <si>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</si>
  <si>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</si>
  <si>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</si>
  <si>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</si>
  <si>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</si>
  <si>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</si>
  <si>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</si>
  <si>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</si>
  <si>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</si>
  <si>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</si>
  <si>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</si>
  <si>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</si>
  <si>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</si>
  <si>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</si>
  <si>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</si>
  <si>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</si>
  <si>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</si>
  <si>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</si>
  <si>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</si>
  <si>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</si>
  <si>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</si>
  <si>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</si>
  <si>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</si>
  <si>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</si>
  <si>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</si>
  <si>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</si>
  <si>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</si>
  <si>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</si>
  <si>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</si>
  <si>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</si>
  <si>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</si>
  <si>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</si>
  <si>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</si>
  <si>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</si>
  <si>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</si>
  <si>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</si>
  <si>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</si>
  <si>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</si>
  <si>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</si>
  <si>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</si>
  <si>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</si>
  <si>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</si>
  <si>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</si>
  <si>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</si>
  <si>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</si>
  <si>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</si>
  <si>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</si>
  <si>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</si>
  <si>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</si>
  <si>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</si>
  <si>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</si>
  <si>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</si>
  <si>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</si>
  <si>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</si>
  <si>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</si>
  <si>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</si>
  <si>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</si>
  <si>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</si>
  <si>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</si>
  <si>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</si>
  <si>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</si>
  <si>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</si>
  <si>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</si>
  <si>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</si>
  <si>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</si>
  <si>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</si>
  <si>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</si>
  <si>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</si>
  <si>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</si>
  <si>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</si>
  <si>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</si>
  <si>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</si>
  <si>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</si>
  <si>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</si>
  <si>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</si>
  <si>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</si>
  <si>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</si>
  <si>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</si>
  <si>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</si>
  <si>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</si>
  <si>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</si>
  <si>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</si>
  <si>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</si>
  <si>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</si>
  <si>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</si>
  <si>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</si>
  <si>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</si>
  <si>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</si>
  <si>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</si>
  <si>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</si>
  <si>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</si>
  <si>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</si>
  <si>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</si>
  <si>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</si>
  <si>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</si>
  <si>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</si>
  <si>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</si>
  <si>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</si>
  <si>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</si>
  <si>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</si>
  <si>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</si>
  <si>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</si>
  <si>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</si>
  <si>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</si>
  <si>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</si>
  <si>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</si>
  <si>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</si>
  <si>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</si>
  <si>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</si>
  <si>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</si>
  <si>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</si>
  <si>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</si>
  <si>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</si>
  <si>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</si>
  <si>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</si>
  <si>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</si>
  <si>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</si>
  <si>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</si>
  <si>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</si>
  <si>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</si>
  <si>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</si>
  <si>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</si>
  <si>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</si>
  <si>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</si>
  <si>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</si>
  <si>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</si>
  <si>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</si>
  <si>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</si>
  <si>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</si>
  <si>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</si>
  <si>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</si>
  <si>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</si>
  <si>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</si>
  <si>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</si>
  <si>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</si>
  <si>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</si>
  <si>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</si>
  <si>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</si>
  <si>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</si>
  <si>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</si>
  <si>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</si>
  <si>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</si>
  <si>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</si>
  <si>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</si>
  <si>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</si>
  <si>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</si>
  <si>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</si>
  <si>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</si>
  <si>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</si>
  <si>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</si>
  <si>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</si>
  <si>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</si>
  <si>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</si>
  <si>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</si>
  <si>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</si>
  <si>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</si>
  <si>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</si>
  <si>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</si>
  <si>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</si>
  <si>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</si>
  <si>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</si>
  <si>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</si>
  <si>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</si>
  <si>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</si>
  <si>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</si>
  <si>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</si>
  <si>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</si>
  <si>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</si>
  <si>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</si>
  <si>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</si>
  <si>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</si>
  <si>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</si>
  <si>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</si>
  <si>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</si>
  <si>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</si>
  <si>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</si>
  <si>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</si>
  <si>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</si>
  <si>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</si>
  <si>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</si>
  <si>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</si>
  <si>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</si>
  <si>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</si>
  <si>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</si>
  <si>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</si>
  <si>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</si>
  <si>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</si>
  <si>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</si>
  <si>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</si>
  <si>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</si>
  <si>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</si>
  <si>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</si>
  <si>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</si>
  <si>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</si>
  <si>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</si>
  <si>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</si>
  <si>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</si>
  <si>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</si>
  <si>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</si>
  <si>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</si>
  <si>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</si>
  <si>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</si>
  <si>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</si>
  <si>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</si>
  <si>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</si>
  <si>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</si>
  <si>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</si>
  <si>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</si>
  <si>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</si>
  <si>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</si>
  <si>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</si>
  <si>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</si>
  <si>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</si>
  <si>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</si>
  <si>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</si>
  <si>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</si>
  <si>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</si>
  <si>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</si>
  <si>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</si>
  <si>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</si>
  <si>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</si>
  <si>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</si>
  <si>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</si>
  <si>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</si>
  <si>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</si>
  <si>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</si>
  <si>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</si>
  <si>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</si>
  <si>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</si>
  <si>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</si>
  <si>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</si>
  <si>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</si>
  <si>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</si>
  <si>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</si>
  <si>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</si>
  <si>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</si>
  <si>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</si>
  <si>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</si>
  <si>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</si>
  <si>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</si>
  <si>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</si>
  <si>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</si>
  <si>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</si>
  <si>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</si>
  <si>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</si>
  <si>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</si>
  <si>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</si>
  <si>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</si>
  <si>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</si>
  <si>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</si>
  <si>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</si>
  <si>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</si>
  <si>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</si>
  <si>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</si>
  <si>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</si>
  <si>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</si>
  <si>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</si>
  <si>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</si>
  <si>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</si>
  <si>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</si>
  <si>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</si>
  <si>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</si>
  <si>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</si>
  <si>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</si>
  <si>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</si>
  <si>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</si>
  <si>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</si>
  <si>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</si>
  <si>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</si>
  <si>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</si>
  <si>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</si>
  <si>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</si>
  <si>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</si>
  <si>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</si>
  <si>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</si>
  <si>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</si>
  <si>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</si>
  <si>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</si>
  <si>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</si>
  <si>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</si>
  <si>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</si>
  <si>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</si>
  <si>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</si>
  <si>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</si>
  <si>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</si>
  <si>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</si>
  <si>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</si>
  <si>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</si>
  <si>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</si>
  <si>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</si>
  <si>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</si>
  <si>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</si>
  <si>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</si>
  <si>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</si>
  <si>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</si>
  <si>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</si>
  <si>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</si>
  <si>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</si>
  <si>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</si>
  <si>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</si>
  <si>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</si>
  <si>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</si>
  <si>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</si>
  <si>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</si>
  <si>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</si>
  <si>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</si>
  <si>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</si>
  <si>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</si>
  <si>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</si>
  <si>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</si>
  <si>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</si>
  <si>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</si>
  <si>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</si>
  <si>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</si>
  <si>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</si>
  <si>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</si>
  <si>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</si>
  <si>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</si>
  <si>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</si>
  <si>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</si>
  <si>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</si>
  <si>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</si>
  <si>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</si>
  <si>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</si>
  <si>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</si>
  <si>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</si>
  <si>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</si>
  <si>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</si>
  <si>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</si>
  <si>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</si>
  <si>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</si>
  <si>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</si>
  <si>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</si>
  <si>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</si>
  <si>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</si>
  <si>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</si>
  <si>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</si>
  <si>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</si>
  <si>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</si>
  <si>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</si>
  <si>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</si>
  <si>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</si>
  <si>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</si>
  <si>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</si>
  <si>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</si>
  <si>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</si>
  <si>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</si>
  <si>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</si>
  <si>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</si>
  <si>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</si>
  <si>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Bonn Netz GmbH</t>
  </si>
  <si>
    <t>9870006200008</t>
  </si>
  <si>
    <t>Sandkaule 2</t>
  </si>
  <si>
    <t>D-53111</t>
  </si>
  <si>
    <t>Bonn</t>
  </si>
  <si>
    <t>NCLN007000620000</t>
  </si>
  <si>
    <t>Bonn Rüngsdorf ID-10517</t>
  </si>
  <si>
    <t>Bonn Rüngsdorf</t>
  </si>
  <si>
    <t>Meteogroup</t>
  </si>
  <si>
    <t>DE_GMK03</t>
  </si>
  <si>
    <t>DE_GHA03</t>
  </si>
  <si>
    <t>DE_GKO03</t>
  </si>
  <si>
    <t>DE_GBD03</t>
  </si>
  <si>
    <t>DE_GGA03</t>
  </si>
  <si>
    <t>DE_GBH03</t>
  </si>
  <si>
    <t>DE_GWA03</t>
  </si>
  <si>
    <t>DE_GMF03</t>
  </si>
  <si>
    <t>DE_GGB03</t>
  </si>
  <si>
    <t>DE_GPD03</t>
  </si>
  <si>
    <t>DE_GBA03</t>
  </si>
  <si>
    <t>Marcin Lipinski</t>
  </si>
  <si>
    <t>Marcin.Lipinski@bonn-netz.de</t>
  </si>
  <si>
    <t>0228/711-2461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</si>
</sst>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1" borderId="0" xfId="0" applyFont="1" applyFill="1" applyAlignment="1">
      <alignment horizontal="left"/>
    </xf>
    <xf numFmtId="190" fontId="0" fillId="71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CC"/>
      <color rgb="FF00FF00"/>
      <color rgb="FFFFFF99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4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658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2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 t="s">
        <v>662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679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680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681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Bonn</v>
      </c>
      <c r="E28" s="38"/>
      <c r="F28" s="11"/>
      <c r="G28" s="2"/>
    </row>
    <row r="29" spans="1:15">
      <c r="B29" s="15"/>
      <c r="C29" s="22" t="s">
        <v>397</v>
      </c>
      <c r="D29" s="45" t="s">
        <v>663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8" priority="3">
      <formula>IF(CELL("Zeile",D30)&lt;$D$25+CELL("Zeile",$D$29),1,0)</formula>
    </cfRule>
  </conditionalFormatting>
  <conditionalFormatting sqref="D30:D48">
    <cfRule type="expression" dxfId="57" priority="2">
      <formula>IF(CELL(D30)&lt;$D$27+27,1,0)</formula>
    </cfRule>
  </conditionalFormatting>
  <conditionalFormatting sqref="D29">
    <cfRule type="expression" dxfId="56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E44" sqref="E4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Bonn Netz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Bonn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9870006200008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2" t="s">
        <v>257</v>
      </c>
      <c r="I11" s="272" t="s">
        <v>260</v>
      </c>
      <c r="J11" s="27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619</v>
      </c>
      <c r="D13" s="33" t="s">
        <v>621</v>
      </c>
      <c r="E13" s="15"/>
      <c r="H13" s="272" t="s">
        <v>620</v>
      </c>
      <c r="I13" s="272" t="s">
        <v>621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70" t="s">
        <v>258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578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617</v>
      </c>
      <c r="D22" s="49" t="s">
        <v>613</v>
      </c>
      <c r="E22" s="15"/>
      <c r="H22" s="268" t="s">
        <v>613</v>
      </c>
      <c r="I22" s="268" t="s">
        <v>614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615</v>
      </c>
      <c r="E23" s="15"/>
      <c r="H23" s="268" t="s">
        <v>616</v>
      </c>
      <c r="I23" s="8" t="s">
        <v>612</v>
      </c>
      <c r="J23" s="8"/>
      <c r="K23" s="8"/>
      <c r="L23" s="269"/>
    </row>
    <row r="24" spans="2:16" ht="15" customHeight="1">
      <c r="B24" s="22"/>
      <c r="C24" s="24" t="s">
        <v>618</v>
      </c>
      <c r="D24" s="24" t="str">
        <f>IF(D22=$H$22,L24,IF(D23=$H$24,M24,N24))</f>
        <v>=&gt;  Q(D) = KW  x  h(T, SLP-Typ)  x  F(WT)</v>
      </c>
      <c r="E24" s="15"/>
      <c r="H24" s="268" t="s">
        <v>615</v>
      </c>
      <c r="I24" s="268" t="s">
        <v>622</v>
      </c>
      <c r="J24" s="8"/>
      <c r="K24" s="8"/>
      <c r="L24" s="271" t="s">
        <v>623</v>
      </c>
      <c r="M24" s="271" t="s">
        <v>625</v>
      </c>
      <c r="N24" s="271" t="s">
        <v>624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581</v>
      </c>
      <c r="D26" s="42" t="s">
        <v>137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626</v>
      </c>
      <c r="D27" s="42" t="s">
        <v>627</v>
      </c>
      <c r="E27" s="15"/>
      <c r="H27" s="298" t="s">
        <v>627</v>
      </c>
      <c r="I27" s="270" t="s">
        <v>628</v>
      </c>
      <c r="J27" s="270" t="s">
        <v>629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630</v>
      </c>
      <c r="I28" s="271" t="s">
        <v>631</v>
      </c>
      <c r="J28" s="271" t="s">
        <v>632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633</v>
      </c>
      <c r="I29" s="271" t="s">
        <v>634</v>
      </c>
      <c r="J29" s="271" t="s">
        <v>635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580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636</v>
      </c>
      <c r="I32" s="271" t="s">
        <v>637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638</v>
      </c>
      <c r="I33" s="268" t="s">
        <v>633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552</v>
      </c>
      <c r="C35" s="24" t="s">
        <v>499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553</v>
      </c>
      <c r="C37" s="5" t="s">
        <v>367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554</v>
      </c>
      <c r="C40" s="5" t="s">
        <v>368</v>
      </c>
      <c r="D40" s="36">
        <v>500</v>
      </c>
      <c r="E40" s="15" t="s">
        <v>544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60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590</v>
      </c>
      <c r="D48" s="45" t="s">
        <v>665</v>
      </c>
    </row>
    <row r="49" spans="3:4" ht="18" customHeight="1">
      <c r="C49" s="22" t="s">
        <v>591</v>
      </c>
      <c r="D49" s="45"/>
    </row>
    <row r="50" spans="3:4" ht="18" customHeight="1">
      <c r="C50" s="22" t="s">
        <v>592</v>
      </c>
      <c r="D50" s="45"/>
    </row>
    <row r="51" spans="3:4" ht="18" customHeight="1">
      <c r="C51" s="22" t="s">
        <v>593</v>
      </c>
      <c r="D51" s="45"/>
    </row>
    <row r="52" spans="3:4" ht="18" customHeight="1">
      <c r="C52" s="22" t="s">
        <v>594</v>
      </c>
      <c r="D52" s="45"/>
    </row>
    <row r="53" spans="3:4" ht="18" customHeight="1">
      <c r="C53" s="22" t="s">
        <v>595</v>
      </c>
      <c r="D53" s="45"/>
    </row>
    <row r="54" spans="3:4" ht="18" customHeight="1">
      <c r="C54" s="22" t="s">
        <v>596</v>
      </c>
      <c r="D54" s="45"/>
    </row>
    <row r="55" spans="3:4" ht="18" customHeight="1">
      <c r="C55" s="22" t="s">
        <v>597</v>
      </c>
      <c r="D55" s="45"/>
    </row>
    <row r="56" spans="3:4" ht="18" customHeight="1">
      <c r="C56" s="22" t="s">
        <v>598</v>
      </c>
      <c r="D56" s="45"/>
    </row>
    <row r="57" spans="3:4" ht="18" customHeight="1">
      <c r="C57" s="22" t="s">
        <v>599</v>
      </c>
      <c r="D57" s="45"/>
    </row>
    <row r="58" spans="3:4" ht="18" customHeight="1">
      <c r="C58" s="22" t="s">
        <v>600</v>
      </c>
      <c r="D58" s="45"/>
    </row>
    <row r="59" spans="3:4" ht="18" customHeight="1">
      <c r="C59" s="22" t="s">
        <v>601</v>
      </c>
      <c r="D59" s="45"/>
    </row>
    <row r="60" spans="3:4" ht="18" customHeight="1">
      <c r="C60" s="22" t="s">
        <v>602</v>
      </c>
      <c r="D60" s="45"/>
    </row>
    <row r="61" spans="3:4" ht="18" customHeight="1">
      <c r="C61" s="22" t="s">
        <v>603</v>
      </c>
      <c r="D61" s="45"/>
    </row>
    <row r="62" spans="3:4" ht="18" customHeight="1">
      <c r="C62" s="22" t="s">
        <v>604</v>
      </c>
      <c r="D62" s="45"/>
    </row>
  </sheetData>
  <sheetProtection sheet="1" objects="1" scenarios="1"/>
  <conditionalFormatting sqref="D16">
    <cfRule type="expression" dxfId="55" priority="19">
      <formula>IF($D$11="NCG",1,0)</formula>
    </cfRule>
  </conditionalFormatting>
  <conditionalFormatting sqref="D48:D62">
    <cfRule type="expression" dxfId="54" priority="18">
      <formula>IF(CELL("Zeile",D48)&lt;$D$46+CELL("Zeile",$D$48),1,0)</formula>
    </cfRule>
  </conditionalFormatting>
  <conditionalFormatting sqref="D49:D62">
    <cfRule type="expression" dxfId="53" priority="17">
      <formula>IF(CELL(D49)&lt;$D$36+27,1,0)</formula>
    </cfRule>
  </conditionalFormatting>
  <conditionalFormatting sqref="D23">
    <cfRule type="expression" dxfId="52" priority="16">
      <formula>IF($D$22=$H$22,1,0)</formula>
    </cfRule>
  </conditionalFormatting>
  <conditionalFormatting sqref="D31">
    <cfRule type="expression" dxfId="51" priority="5">
      <formula>IF($D$18="synthetisch",1,0)</formula>
    </cfRule>
  </conditionalFormatting>
  <conditionalFormatting sqref="D28">
    <cfRule type="expression" dxfId="50" priority="3">
      <formula>IF(AND($D$27=$I$27,$D$26=$H$26),1,0)</formula>
    </cfRule>
  </conditionalFormatting>
  <conditionalFormatting sqref="D26:D28">
    <cfRule type="expression" dxfId="49" priority="6">
      <formula>IF($D$18="analytisch",1,0)</formula>
    </cfRule>
  </conditionalFormatting>
  <conditionalFormatting sqref="D27">
    <cfRule type="expression" dxfId="48" priority="4">
      <formula>IF($D$26="nein",1)</formula>
    </cfRule>
  </conditionalFormatting>
  <conditionalFormatting sqref="D15">
    <cfRule type="expression" dxfId="47" priority="1">
      <formula>IF($D$11="Gaspool",1,0)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" zoomScale="70" zoomScaleNormal="70" workbookViewId="0">
      <selection activeCell="F52" sqref="F52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Bonn Netz GmbH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Bonn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9870006200008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1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4" t="str">
        <f>INDEX('SLP-Verfahren'!D48:D62,'SLP-Temp-Gebiet #01'!F10)</f>
        <v>Bonn Rüngsdorf ID-10517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588</v>
      </c>
      <c r="D13" s="343"/>
      <c r="E13" s="343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452</v>
      </c>
      <c r="D14" s="344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3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4" t="s">
        <v>389</v>
      </c>
      <c r="D15" s="344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667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506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666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>
        <v>10517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Bonn Rüngsdorf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>
        <f>E25</f>
        <v>10517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5" t="s">
        <v>583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Bonn Netz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Bonn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9870006200008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2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588</v>
      </c>
      <c r="D13" s="343"/>
      <c r="E13" s="343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452</v>
      </c>
      <c r="D14" s="344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3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4" t="s">
        <v>389</v>
      </c>
      <c r="D15" s="344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45" t="s">
        <v>583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A5" zoomScale="80" zoomScaleNormal="80" workbookViewId="0">
      <selection activeCell="R25" sqref="R2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Bonn Netz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Bonn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9870006200008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COUNTA(D12:D99)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3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639</v>
      </c>
      <c r="M10" s="150" t="s">
        <v>648</v>
      </c>
      <c r="N10" s="151" t="s">
        <v>649</v>
      </c>
      <c r="O10" s="151" t="s">
        <v>650</v>
      </c>
      <c r="P10" s="152" t="s">
        <v>651</v>
      </c>
      <c r="Q10" s="146" t="s">
        <v>640</v>
      </c>
      <c r="R10" s="136" t="s">
        <v>641</v>
      </c>
      <c r="S10" s="137" t="s">
        <v>642</v>
      </c>
      <c r="T10" s="137" t="s">
        <v>643</v>
      </c>
      <c r="U10" s="137" t="s">
        <v>644</v>
      </c>
      <c r="V10" s="137" t="s">
        <v>645</v>
      </c>
      <c r="W10" s="137" t="s">
        <v>646</v>
      </c>
      <c r="X10" s="138" t="s">
        <v>647</v>
      </c>
      <c r="Y10" s="295" t="s">
        <v>652</v>
      </c>
    </row>
    <row r="11" spans="2:26" ht="15.75" thickBot="1">
      <c r="B11" s="139" t="s">
        <v>500</v>
      </c>
      <c r="C11" s="140" t="s">
        <v>513</v>
      </c>
      <c r="D11" s="294" t="s">
        <v>248</v>
      </c>
      <c r="E11" s="164" t="s">
        <v>520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25" si="0">$D$6</f>
        <v>Bonn</v>
      </c>
      <c r="D12" s="62" t="s">
        <v>248</v>
      </c>
      <c r="E12" s="165" t="s">
        <v>4</v>
      </c>
      <c r="F12" s="297" t="s">
        <v>289</v>
      </c>
      <c r="H12" s="341">
        <v>3.0553842000000002</v>
      </c>
      <c r="I12" s="341">
        <v>-37.183637400000002</v>
      </c>
      <c r="J12" s="341">
        <v>5.6810824999999996</v>
      </c>
      <c r="K12" s="341">
        <v>0.1144799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5" si="1">($H12/(1+($I12/($Q$9-$L12))^$J12)+$K12)+MAX($M12*$Q$9+$N12,$O12*$Q$9+$P12)</f>
        <v>1.0274935291639951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Bonn</v>
      </c>
      <c r="D13" s="62" t="s">
        <v>248</v>
      </c>
      <c r="E13" s="165" t="s">
        <v>587</v>
      </c>
      <c r="F13" s="297" t="s">
        <v>297</v>
      </c>
      <c r="H13" s="341">
        <v>2.3987552000000001</v>
      </c>
      <c r="I13" s="341">
        <v>-34.7234877</v>
      </c>
      <c r="J13" s="341">
        <v>5.7996445999999997</v>
      </c>
      <c r="K13" s="341">
        <v>0.1016748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1.0221653056361568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5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Bonn</v>
      </c>
      <c r="D14" s="62" t="s">
        <v>248</v>
      </c>
      <c r="E14" s="165" t="s">
        <v>5</v>
      </c>
      <c r="F14" s="297" t="str">
        <f>VLOOKUP($E14,'BDEW-Standard'!$B$3:$M$94,F$9,0)</f>
        <v>HK3</v>
      </c>
      <c r="H14" s="342">
        <f>ROUND(VLOOKUP($E14,'BDEW-Standard'!$B$3:$M$94,H$9,0),7)</f>
        <v>0.40409319999999999</v>
      </c>
      <c r="I14" s="342">
        <f>ROUND(VLOOKUP($E14,'BDEW-Standard'!$B$3:$M$94,I$9,0),7)</f>
        <v>-24.439296800000001</v>
      </c>
      <c r="J14" s="342">
        <f>ROUND(VLOOKUP($E14,'BDEW-Standard'!$B$3:$M$94,J$9,0),7)</f>
        <v>6.5718174999999999</v>
      </c>
      <c r="K14" s="341">
        <v>0.98993180000000003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1.3352822000512989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Bonn</v>
      </c>
      <c r="D15" s="62" t="s">
        <v>248</v>
      </c>
      <c r="E15" s="165" t="s">
        <v>668</v>
      </c>
      <c r="F15" s="297" t="str">
        <f>VLOOKUP($E15,'BDEW-Standard'!$B$3:$M$94,F$9,0)</f>
        <v>MK3</v>
      </c>
      <c r="H15" s="342">
        <f>ROUND(VLOOKUP($E15,'BDEW-Standard'!$B$3:$M$94,H$9,0),7)</f>
        <v>2.7882424000000001</v>
      </c>
      <c r="I15" s="342">
        <f>ROUND(VLOOKUP($E15,'BDEW-Standard'!$B$3:$M$94,I$9,0),7)</f>
        <v>-34.880612999999997</v>
      </c>
      <c r="J15" s="342">
        <f>ROUND(VLOOKUP($E15,'BDEW-Standard'!$B$3:$M$94,J$9,0),7)</f>
        <v>6.5951899000000003</v>
      </c>
      <c r="K15" s="342">
        <f>ROUND(VLOOKUP($E15,'BDEW-Standard'!$B$3:$M$94,K$9,0),7)</f>
        <v>5.4032900000000002E-2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1.0622306107520199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Bonn</v>
      </c>
      <c r="D16" s="62" t="s">
        <v>248</v>
      </c>
      <c r="E16" s="165" t="s">
        <v>669</v>
      </c>
      <c r="F16" s="297" t="str">
        <f>VLOOKUP($E16,'BDEW-Standard'!$B$3:$M$94,F$9,0)</f>
        <v>HA3</v>
      </c>
      <c r="H16" s="342">
        <f>ROUND(VLOOKUP($E16,'BDEW-Standard'!$B$3:$M$94,H$9,0),7)</f>
        <v>3.5811213999999998</v>
      </c>
      <c r="I16" s="342">
        <f>ROUND(VLOOKUP($E16,'BDEW-Standard'!$B$3:$M$94,I$9,0),7)</f>
        <v>-36.965006500000001</v>
      </c>
      <c r="J16" s="342">
        <f>ROUND(VLOOKUP($E16,'BDEW-Standard'!$B$3:$M$94,J$9,0),7)</f>
        <v>7.2256947</v>
      </c>
      <c r="K16" s="342">
        <f>ROUND(VLOOKUP($E16,'BDEW-Standard'!$B$3:$M$94,K$9,0),7)</f>
        <v>4.4841600000000002E-2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0.97852945357176691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Bonn</v>
      </c>
      <c r="D17" s="62" t="s">
        <v>248</v>
      </c>
      <c r="E17" s="165" t="s">
        <v>670</v>
      </c>
      <c r="F17" s="297" t="str">
        <f>VLOOKUP($E17,'BDEW-Standard'!$B$3:$M$94,F$9,0)</f>
        <v>KO3</v>
      </c>
      <c r="H17" s="342">
        <f>ROUND(VLOOKUP($E17,'BDEW-Standard'!$B$3:$M$94,H$9,0),7)</f>
        <v>2.7172288</v>
      </c>
      <c r="I17" s="342">
        <f>ROUND(VLOOKUP($E17,'BDEW-Standard'!$B$3:$M$94,I$9,0),7)</f>
        <v>-35.141256300000002</v>
      </c>
      <c r="J17" s="342">
        <f>ROUND(VLOOKUP($E17,'BDEW-Standard'!$B$3:$M$94,J$9,0),7)</f>
        <v>7.1303394999999998</v>
      </c>
      <c r="K17" s="342">
        <f>ROUND(VLOOKUP($E17,'BDEW-Standard'!$B$3:$M$94,K$9,0),7)</f>
        <v>0.14184720000000001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Bonn</v>
      </c>
      <c r="D18" s="62" t="s">
        <v>248</v>
      </c>
      <c r="E18" s="165" t="s">
        <v>671</v>
      </c>
      <c r="F18" s="297" t="str">
        <f>VLOOKUP($E18,'BDEW-Standard'!$B$3:$M$94,F$9,0)</f>
        <v>BD3</v>
      </c>
      <c r="H18" s="342">
        <f>ROUND(VLOOKUP($E18,'BDEW-Standard'!$B$3:$M$94,H$9,0),7)</f>
        <v>2.9177027</v>
      </c>
      <c r="I18" s="342">
        <f>ROUND(VLOOKUP($E18,'BDEW-Standard'!$B$3:$M$94,I$9,0),7)</f>
        <v>-36.179411700000003</v>
      </c>
      <c r="J18" s="342">
        <f>ROUND(VLOOKUP($E18,'BDEW-Standard'!$B$3:$M$94,J$9,0),7)</f>
        <v>5.9265162</v>
      </c>
      <c r="K18" s="342">
        <f>ROUND(VLOOKUP($E18,'BDEW-Standard'!$B$3:$M$94,K$9,0),7)</f>
        <v>0.11519119999999999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1.0656106174494469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Bonn</v>
      </c>
      <c r="D19" s="62" t="s">
        <v>248</v>
      </c>
      <c r="E19" s="165" t="s">
        <v>672</v>
      </c>
      <c r="F19" s="297" t="str">
        <f>VLOOKUP($E19,'BDEW-Standard'!$B$3:$M$94,F$9,0)</f>
        <v>GA3</v>
      </c>
      <c r="H19" s="342">
        <f>ROUND(VLOOKUP($E19,'BDEW-Standard'!$B$3:$M$94,H$9,0),7)</f>
        <v>2.2850164999999998</v>
      </c>
      <c r="I19" s="342">
        <f>ROUND(VLOOKUP($E19,'BDEW-Standard'!$B$3:$M$94,I$9,0),7)</f>
        <v>-36.287858399999998</v>
      </c>
      <c r="J19" s="342">
        <f>ROUND(VLOOKUP($E19,'BDEW-Standard'!$B$3:$M$94,J$9,0),7)</f>
        <v>6.5885125999999996</v>
      </c>
      <c r="K19" s="342">
        <f>ROUND(VLOOKUP($E19,'BDEW-Standard'!$B$3:$M$94,K$9,0),7)</f>
        <v>0.31505349999999999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1.0096183914256316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Bonn</v>
      </c>
      <c r="D20" s="62" t="s">
        <v>248</v>
      </c>
      <c r="E20" s="165" t="s">
        <v>673</v>
      </c>
      <c r="F20" s="297" t="str">
        <f>VLOOKUP($E20,'BDEW-Standard'!$B$3:$M$94,F$9,0)</f>
        <v>BH3</v>
      </c>
      <c r="H20" s="342">
        <f>ROUND(VLOOKUP($E20,'BDEW-Standard'!$B$3:$M$94,H$9,0),7)</f>
        <v>2.0102471999999998</v>
      </c>
      <c r="I20" s="342">
        <f>ROUND(VLOOKUP($E20,'BDEW-Standard'!$B$3:$M$94,I$9,0),7)</f>
        <v>-35.253212400000002</v>
      </c>
      <c r="J20" s="342">
        <f>ROUND(VLOOKUP($E20,'BDEW-Standard'!$B$3:$M$94,J$9,0),7)</f>
        <v>6.1544406</v>
      </c>
      <c r="K20" s="342">
        <f>ROUND(VLOOKUP($E20,'BDEW-Standard'!$B$3:$M$94,K$9,0),7)</f>
        <v>0.32947409999999999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1.0436896084076008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Bonn</v>
      </c>
      <c r="D21" s="62" t="s">
        <v>248</v>
      </c>
      <c r="E21" s="165" t="s">
        <v>674</v>
      </c>
      <c r="F21" s="297" t="str">
        <f>VLOOKUP($E21,'BDEW-Standard'!$B$3:$M$94,F$9,0)</f>
        <v>WA3</v>
      </c>
      <c r="H21" s="342">
        <f>ROUND(VLOOKUP($E21,'BDEW-Standard'!$B$3:$M$94,H$9,0),7)</f>
        <v>0.76572899999999999</v>
      </c>
      <c r="I21" s="342">
        <f>ROUND(VLOOKUP($E21,'BDEW-Standard'!$B$3:$M$94,I$9,0),7)</f>
        <v>-36.023791199999998</v>
      </c>
      <c r="J21" s="342">
        <f>ROUND(VLOOKUP($E21,'BDEW-Standard'!$B$3:$M$94,J$9,0),7)</f>
        <v>4.8662747</v>
      </c>
      <c r="K21" s="342">
        <f>ROUND(VLOOKUP($E21,'BDEW-Standard'!$B$3:$M$94,K$9,0),7)</f>
        <v>0.80494250000000001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1.0804258319686442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Bonn</v>
      </c>
      <c r="D22" s="62" t="s">
        <v>248</v>
      </c>
      <c r="E22" s="165" t="s">
        <v>675</v>
      </c>
      <c r="F22" s="297" t="str">
        <f>VLOOKUP($E22,'BDEW-Standard'!$B$3:$M$94,F$9,0)</f>
        <v>MF3</v>
      </c>
      <c r="H22" s="342">
        <f>ROUND(VLOOKUP($E22,'BDEW-Standard'!$B$3:$M$94,H$9,0),7)</f>
        <v>2.3877617999999998</v>
      </c>
      <c r="I22" s="342">
        <f>ROUND(VLOOKUP($E22,'BDEW-Standard'!$B$3:$M$94,I$9,0),7)</f>
        <v>-34.721360500000003</v>
      </c>
      <c r="J22" s="342">
        <f>ROUND(VLOOKUP($E22,'BDEW-Standard'!$B$3:$M$94,J$9,0),7)</f>
        <v>5.8164303999999998</v>
      </c>
      <c r="K22" s="342">
        <f>ROUND(VLOOKUP($E22,'BDEW-Standard'!$B$3:$M$94,K$9,0),7)</f>
        <v>0.12081939999999999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1.0365184142102302</v>
      </c>
      <c r="R22" s="275">
        <f>ROUND(VLOOKUP(MID($E22,4,3),'Wochentag F(WT)'!$B$7:$J$22,R$9,0),4)</f>
        <v>1.0354000000000001</v>
      </c>
      <c r="S22" s="275">
        <f>ROUND(VLOOKUP(MID($E22,4,3),'Wochentag F(WT)'!$B$7:$J$22,S$9,0),4)</f>
        <v>1.0523</v>
      </c>
      <c r="T22" s="275">
        <f>ROUND(VLOOKUP(MID($E22,4,3),'Wochentag F(WT)'!$B$7:$J$22,T$9,0),4)</f>
        <v>1.0448999999999999</v>
      </c>
      <c r="U22" s="275">
        <f>ROUND(VLOOKUP(MID($E22,4,3),'Wochentag F(WT)'!$B$7:$J$22,U$9,0),4)</f>
        <v>1.0494000000000001</v>
      </c>
      <c r="V22" s="275">
        <f>ROUND(VLOOKUP(MID($E22,4,3),'Wochentag F(WT)'!$B$7:$J$22,V$9,0),4)</f>
        <v>0.98850000000000005</v>
      </c>
      <c r="W22" s="275">
        <f>ROUND(VLOOKUP(MID($E22,4,3),'Wochentag F(WT)'!$B$7:$J$22,W$9,0),4)</f>
        <v>0.88600000000000001</v>
      </c>
      <c r="X22" s="276">
        <f t="shared" si="2"/>
        <v>0.94349999999999934</v>
      </c>
      <c r="Y22" s="293"/>
      <c r="Z22" s="211"/>
    </row>
    <row r="23" spans="2:26" s="143" customFormat="1">
      <c r="B23" s="144">
        <v>12</v>
      </c>
      <c r="C23" s="145" t="str">
        <f t="shared" si="0"/>
        <v>Bonn</v>
      </c>
      <c r="D23" s="62" t="s">
        <v>248</v>
      </c>
      <c r="E23" s="165" t="s">
        <v>676</v>
      </c>
      <c r="F23" s="297" t="str">
        <f>VLOOKUP($E23,'BDEW-Standard'!$B$3:$M$94,F$9,0)</f>
        <v>GB3</v>
      </c>
      <c r="H23" s="342">
        <f>ROUND(VLOOKUP($E23,'BDEW-Standard'!$B$3:$M$94,H$9,0),7)</f>
        <v>3.2572741999999999</v>
      </c>
      <c r="I23" s="342">
        <f>ROUND(VLOOKUP($E23,'BDEW-Standard'!$B$3:$M$94,I$9,0),7)</f>
        <v>-37.5</v>
      </c>
      <c r="J23" s="342">
        <f>ROUND(VLOOKUP($E23,'BDEW-Standard'!$B$3:$M$94,J$9,0),7)</f>
        <v>6.3462148000000003</v>
      </c>
      <c r="K23" s="342">
        <f>ROUND(VLOOKUP($E23,'BDEW-Standard'!$B$3:$M$94,K$9,0),7)</f>
        <v>8.6622699999999997E-2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0.9584556323619029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>
      <c r="B24" s="144">
        <v>13</v>
      </c>
      <c r="C24" s="145" t="str">
        <f t="shared" si="0"/>
        <v>Bonn</v>
      </c>
      <c r="D24" s="62" t="s">
        <v>248</v>
      </c>
      <c r="E24" s="165" t="s">
        <v>677</v>
      </c>
      <c r="F24" s="297" t="str">
        <f>VLOOKUP($E24,'BDEW-Standard'!$B$3:$M$94,F$9,0)</f>
        <v>PD3</v>
      </c>
      <c r="H24" s="342">
        <f>ROUND(VLOOKUP($E24,'BDEW-Standard'!$B$3:$M$94,H$9,0),7)</f>
        <v>3.2</v>
      </c>
      <c r="I24" s="342">
        <f>ROUND(VLOOKUP($E24,'BDEW-Standard'!$B$3:$M$94,I$9,0),7)</f>
        <v>-35.799999999999997</v>
      </c>
      <c r="J24" s="342">
        <f>ROUND(VLOOKUP($E24,'BDEW-Standard'!$B$3:$M$94,J$9,0),7)</f>
        <v>8.4</v>
      </c>
      <c r="K24" s="342">
        <f>ROUND(VLOOKUP($E24,'BDEW-Standard'!$B$3:$M$94,K$9,0),7)</f>
        <v>9.3848600000000004E-2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0.99106250024889242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Bonn</v>
      </c>
      <c r="D25" s="62" t="s">
        <v>248</v>
      </c>
      <c r="E25" s="165" t="s">
        <v>678</v>
      </c>
      <c r="F25" s="297" t="str">
        <f>VLOOKUP($E25,'BDEW-Standard'!$B$3:$M$94,F$9,0)</f>
        <v>BA3</v>
      </c>
      <c r="H25" s="342">
        <f>ROUND(VLOOKUP($E25,'BDEW-Standard'!$B$3:$M$94,H$9,0),7)</f>
        <v>0.62619619999999998</v>
      </c>
      <c r="I25" s="342">
        <f>ROUND(VLOOKUP($E25,'BDEW-Standard'!$B$3:$M$94,I$9,0),7)</f>
        <v>-33</v>
      </c>
      <c r="J25" s="342">
        <f>ROUND(VLOOKUP($E25,'BDEW-Standard'!$B$3:$M$94,J$9,0),7)</f>
        <v>5.7212303000000002</v>
      </c>
      <c r="K25" s="342">
        <f>ROUND(VLOOKUP($E25,'BDEW-Standard'!$B$3:$M$94,K$9,0),7)</f>
        <v>0.78556550000000003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1.0711738317583412</v>
      </c>
      <c r="R25" s="275">
        <f>ROUND(VLOOKUP(MID($E25,4,3),'Wochentag F(WT)'!$B$7:$J$22,R$9,0),4)</f>
        <v>1.0848</v>
      </c>
      <c r="S25" s="275">
        <f>ROUND(VLOOKUP(MID($E25,4,3),'Wochentag F(WT)'!$B$7:$J$22,S$9,0),4)</f>
        <v>1.1211</v>
      </c>
      <c r="T25" s="275">
        <f>ROUND(VLOOKUP(MID($E25,4,3),'Wochentag F(WT)'!$B$7:$J$22,T$9,0),4)</f>
        <v>1.0769</v>
      </c>
      <c r="U25" s="275">
        <f>ROUND(VLOOKUP(MID($E25,4,3),'Wochentag F(WT)'!$B$7:$J$22,U$9,0),4)</f>
        <v>1.1353</v>
      </c>
      <c r="V25" s="275">
        <f>ROUND(VLOOKUP(MID($E25,4,3),'Wochentag F(WT)'!$B$7:$J$22,V$9,0),4)</f>
        <v>1.1402000000000001</v>
      </c>
      <c r="W25" s="275">
        <f>ROUND(VLOOKUP(MID($E25,4,3),'Wochentag F(WT)'!$B$7:$J$22,W$9,0),4)</f>
        <v>0.48520000000000002</v>
      </c>
      <c r="X25" s="276">
        <f t="shared" si="2"/>
        <v>0.95650000000000013</v>
      </c>
      <c r="Y25" s="293"/>
      <c r="Z25" s="211"/>
    </row>
    <row r="26" spans="2:26" s="143" customFormat="1">
      <c r="B26" s="144"/>
      <c r="C26" s="145"/>
      <c r="D26" s="62"/>
      <c r="E26" s="166"/>
      <c r="F26" s="297"/>
      <c r="H26" s="277"/>
      <c r="I26" s="277"/>
      <c r="J26" s="277"/>
      <c r="K26" s="277"/>
      <c r="L26" s="338"/>
      <c r="M26" s="277"/>
      <c r="N26" s="277"/>
      <c r="O26" s="277"/>
      <c r="P26" s="277"/>
      <c r="Q26" s="340"/>
      <c r="R26" s="278"/>
      <c r="S26" s="278"/>
      <c r="T26" s="278"/>
      <c r="U26" s="278"/>
      <c r="V26" s="278"/>
      <c r="W26" s="278"/>
      <c r="X26" s="279"/>
      <c r="Y26" s="293"/>
    </row>
    <row r="27" spans="2:26" s="143" customFormat="1">
      <c r="B27" s="144"/>
      <c r="C27" s="145"/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/>
      <c r="C28" s="145"/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/>
      <c r="C29" s="145"/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/>
      <c r="C30" s="145"/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/>
      <c r="C31" s="145"/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/>
      <c r="C32" s="145"/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/>
      <c r="C33" s="145"/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/>
      <c r="C34" s="145"/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/>
      <c r="C35" s="145"/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/>
      <c r="C36" s="145"/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/>
      <c r="C37" s="145"/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/>
      <c r="C38" s="145"/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/>
      <c r="C39" s="145"/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/>
      <c r="C40" s="145"/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0 H11:Y11 H15:Y40 H14:J14 L12:Y14">
    <cfRule type="expression" dxfId="9" priority="11">
      <formula>ISERROR(F11)</formula>
    </cfRule>
  </conditionalFormatting>
  <conditionalFormatting sqref="E12:F40 Y12:Y40">
    <cfRule type="duplicateValues" dxfId="8" priority="42"/>
  </conditionalFormatting>
  <dataValidations count="2">
    <dataValidation errorStyle="warning" allowBlank="1" showInputMessage="1" showErrorMessage="1" errorTitle="Profil-Art" error="Bitte Profilwahl gemäß Auswahlfeld" sqref="D11"/>
    <dataValidation type="list" errorStyle="warning" allowBlank="1" showInputMessage="1" showErrorMessage="1" errorTitle="Profil-Art" error="Bitte Profilwahl gemäß Auswahlfeld" sqref="D12:D40">
      <formula1>"BDEW,Ind.-Koef."</formula1>
    </dataValidation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5 H14:J14 C13:C25 M12:X14 H16:K25 I15:K15 M16:X23 M15:Q15 S15:X15 M25:X25 M24:Q24 S24:X24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D11:D40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allowBlank="1" showInputMessage="1" showErrorMessage="1">
          <x14:formula1>
            <xm:f>'BDEW-Standard'!$B$3:$B$94</xm:f>
          </x14:formula1>
          <xm:sqref>E12:E25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Bonn Netz GmbH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Bonn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9870006200008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462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1" t="s">
        <v>586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399</v>
      </c>
      <c r="G10" s="349"/>
      <c r="H10" s="349"/>
      <c r="I10" s="349"/>
      <c r="J10" s="349"/>
      <c r="K10" s="349"/>
      <c r="L10" s="350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403</v>
      </c>
      <c r="G13" s="80" t="s">
        <v>403</v>
      </c>
      <c r="H13" s="80" t="s">
        <v>403</v>
      </c>
      <c r="I13" s="80" t="s">
        <v>403</v>
      </c>
      <c r="J13" s="80" t="s">
        <v>403</v>
      </c>
      <c r="K13" s="80" t="s">
        <v>403</v>
      </c>
      <c r="L13" s="81" t="s">
        <v>403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403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403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653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1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403</v>
      </c>
      <c r="G24" s="80" t="s">
        <v>403</v>
      </c>
      <c r="H24" s="80" t="s">
        <v>403</v>
      </c>
      <c r="I24" s="80" t="s">
        <v>403</v>
      </c>
      <c r="J24" s="80" t="s">
        <v>403</v>
      </c>
      <c r="K24" s="80" t="s">
        <v>403</v>
      </c>
      <c r="L24" s="81" t="s">
        <v>403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403</v>
      </c>
      <c r="G25" s="80" t="s">
        <v>403</v>
      </c>
      <c r="H25" s="80" t="s">
        <v>403</v>
      </c>
      <c r="I25" s="80" t="s">
        <v>403</v>
      </c>
      <c r="J25" s="80" t="s">
        <v>403</v>
      </c>
      <c r="K25" s="80" t="s">
        <v>403</v>
      </c>
      <c r="L25" s="81" t="s">
        <v>403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403</v>
      </c>
      <c r="G27" s="80" t="s">
        <v>403</v>
      </c>
      <c r="H27" s="80" t="s">
        <v>403</v>
      </c>
      <c r="I27" s="80" t="s">
        <v>403</v>
      </c>
      <c r="J27" s="80" t="s">
        <v>403</v>
      </c>
      <c r="K27" s="80" t="s">
        <v>403</v>
      </c>
      <c r="L27" s="81" t="s">
        <v>403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1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403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403</v>
      </c>
      <c r="G30" s="80" t="s">
        <v>403</v>
      </c>
      <c r="H30" s="80" t="s">
        <v>403</v>
      </c>
      <c r="I30" s="80" t="s">
        <v>403</v>
      </c>
      <c r="J30" s="80" t="s">
        <v>403</v>
      </c>
      <c r="K30" s="80" t="s">
        <v>403</v>
      </c>
      <c r="L30" s="81" t="s">
        <v>403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403</v>
      </c>
      <c r="G33" s="82" t="s">
        <v>403</v>
      </c>
      <c r="H33" s="82" t="s">
        <v>403</v>
      </c>
      <c r="I33" s="82" t="s">
        <v>403</v>
      </c>
      <c r="J33" s="82" t="s">
        <v>403</v>
      </c>
      <c r="K33" s="82" t="s">
        <v>403</v>
      </c>
      <c r="L33" s="83" t="s">
        <v>403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458</v>
      </c>
      <c r="F1" s="214" t="s">
        <v>548</v>
      </c>
      <c r="N1" s="215"/>
    </row>
    <row r="2" spans="1:14" ht="25.5">
      <c r="A2" s="216" t="s">
        <v>272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656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2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323</v>
      </c>
      <c r="D96" s="232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328</v>
      </c>
      <c r="D97" s="232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333</v>
      </c>
      <c r="D98" s="232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286</v>
      </c>
      <c r="D99" s="232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2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2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2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2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2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2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2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2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2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2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2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2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2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2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2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2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2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2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2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2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2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2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2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2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2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2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2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2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2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2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2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2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2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2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2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2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2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2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2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2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2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2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2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2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2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2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2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2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2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2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2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2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2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2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2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2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2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2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2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548</v>
      </c>
    </row>
    <row r="2" spans="1:16">
      <c r="A2" s="234"/>
      <c r="B2" s="233" t="s">
        <v>460</v>
      </c>
    </row>
    <row r="3" spans="1:16" ht="20.100000000000001" customHeight="1">
      <c r="A3" s="353" t="s">
        <v>249</v>
      </c>
      <c r="B3" s="235" t="s">
        <v>87</v>
      </c>
      <c r="C3" s="236"/>
      <c r="D3" s="355" t="s">
        <v>461</v>
      </c>
      <c r="E3" s="356"/>
      <c r="F3" s="356"/>
      <c r="G3" s="356"/>
      <c r="H3" s="356"/>
      <c r="I3" s="356"/>
      <c r="J3" s="357"/>
      <c r="K3" s="237"/>
      <c r="L3" s="237"/>
      <c r="M3" s="237"/>
      <c r="N3" s="237"/>
      <c r="O3" s="238"/>
      <c r="P3" s="237"/>
    </row>
    <row r="4" spans="1:16" ht="20.100000000000001" customHeight="1">
      <c r="A4" s="354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118</v>
      </c>
    </row>
    <row r="22" spans="1:16" ht="25.5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2015-03-20T22:59:10Z</cp:lastPrinted>
  <dcterms:created xsi:type="dcterms:W3CDTF">2015-01-15T05:25:41Z</dcterms:created>
  <dcterms:modified xsi:type="dcterms:W3CDTF">2018-07-27T07:06:21Z</dcterms:modified>
</cp:coreProperties>
</file>